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4" activeTab="0"/>
  </bookViews>
  <sheets>
    <sheet name="Финансовый план на 2019 год " sheetId="1" r:id="rId1"/>
  </sheets>
  <definedNames>
    <definedName name="В21">#REF!</definedName>
    <definedName name="_xlnm.Print_Area" localSheetId="0">'Финансовый план на 2019 год '!$A$1:$D$83</definedName>
  </definedNames>
  <calcPr fullCalcOnLoad="1"/>
</workbook>
</file>

<file path=xl/sharedStrings.xml><?xml version="1.0" encoding="utf-8"?>
<sst xmlns="http://schemas.openxmlformats.org/spreadsheetml/2006/main" count="147" uniqueCount="114">
  <si>
    <t>на предоставление услуг по содержанию общего имущества и управлению многоквартирными домами</t>
  </si>
  <si>
    <t>(определение численности персонала и формирование нормативных показателей по статьям "прочие прямые затраты","общеэксплуатационные  и "внеэксплуатационные расходы" из расчета на 1 кв.м общей площади</t>
  </si>
  <si>
    <t xml:space="preserve">Стоимость услуг и работ  определяется на основании нормативной численности рабочих по содержанию домовладений в соответствии с Рекомендациями по нормированию труда работников, занятых содержанием и ремонтом жилищного фонда, утвержденными приказом Госстроя России от 9 декабря 1999 года № 139, в соответствии с величиной минимального размера оплаты труда  с учетом корректирующих коэффициентов, стоимости специальной одежды, инвентаря и материалов в соответствии со "Сборником норм бесплатной выдачи специальной одежды, специальной обуви и других средств индивидуальной защиты, применяемых в жилищно-коммунальном хозяйстве" (Москва, ЦНИС, 1999), "Рекомендациями по нормированию материальных ресурсов на содержание и ремонт жилищного фонда"(часть 1), утвержденных Приказом Госстроя от 22.08.2000 № 191 и Методическими указаниями Госстроя России по разработке единичных расценок на строительные, монтажные и ремонтно-строительные работы.
</t>
  </si>
  <si>
    <t>№</t>
  </si>
  <si>
    <t>Характеристика жилищного фонда</t>
  </si>
  <si>
    <t>Количество</t>
  </si>
  <si>
    <t>Ед.изм.</t>
  </si>
  <si>
    <t>1</t>
  </si>
  <si>
    <t>Количество многоквартирных домов</t>
  </si>
  <si>
    <t>шт</t>
  </si>
  <si>
    <t>2</t>
  </si>
  <si>
    <t>Общая площадь жилищного фонда</t>
  </si>
  <si>
    <t>кв.м</t>
  </si>
  <si>
    <t>3</t>
  </si>
  <si>
    <t>Площадь нежилых помещений</t>
  </si>
  <si>
    <t>4</t>
  </si>
  <si>
    <t>Площадь убираемая:</t>
  </si>
  <si>
    <t>4.1</t>
  </si>
  <si>
    <t xml:space="preserve">   - асфальт дворовой</t>
  </si>
  <si>
    <t>4.2</t>
  </si>
  <si>
    <t xml:space="preserve">   - асфальт уличный</t>
  </si>
  <si>
    <t>4.3</t>
  </si>
  <si>
    <t xml:space="preserve">   - газоны</t>
  </si>
  <si>
    <t>4.4</t>
  </si>
  <si>
    <t xml:space="preserve">   - места общего пользования в МКД, в том числе</t>
  </si>
  <si>
    <t>4.5</t>
  </si>
  <si>
    <t xml:space="preserve">     места общего пользования, подлежащие уборке в соответствии с заключенными договорами</t>
  </si>
  <si>
    <t>5</t>
  </si>
  <si>
    <t xml:space="preserve">   - количество лифтов</t>
  </si>
  <si>
    <t xml:space="preserve">  шт.</t>
  </si>
  <si>
    <t>6</t>
  </si>
  <si>
    <t>Количество проживающих</t>
  </si>
  <si>
    <t>чел.</t>
  </si>
  <si>
    <t>Доходная часть</t>
  </si>
  <si>
    <t>предоставление услуг по содержанию общего имущества и управлению многоквартирными домами</t>
  </si>
  <si>
    <t>начислено (сумма начислений собственникам и нанимателям за содержание общего имущества и управлению многоквартирными домами)</t>
  </si>
  <si>
    <t>тыс.руб.</t>
  </si>
  <si>
    <t>платные услуги</t>
  </si>
  <si>
    <t>Всего</t>
  </si>
  <si>
    <t>Статьи затрат</t>
  </si>
  <si>
    <t>Расходы из расчета на 1м2 общей площади</t>
  </si>
  <si>
    <t>Себестоимость услуг по содержанию жилого фонда:</t>
  </si>
  <si>
    <t>1.</t>
  </si>
  <si>
    <t>1.2</t>
  </si>
  <si>
    <t>1.3</t>
  </si>
  <si>
    <t>2.</t>
  </si>
  <si>
    <t>Содержание домохозяйства,всего,в том числе:</t>
  </si>
  <si>
    <t>3.</t>
  </si>
  <si>
    <t>4.</t>
  </si>
  <si>
    <t>5.</t>
  </si>
  <si>
    <t>Прочие прямые затраты</t>
  </si>
  <si>
    <t>5.1</t>
  </si>
  <si>
    <t xml:space="preserve">расходы, связанные с управлением многоквартным домом </t>
  </si>
  <si>
    <t>6.</t>
  </si>
  <si>
    <t>Общеэксплуатационные расходы</t>
  </si>
  <si>
    <t>расходы на оплату АУП  (директор, главный инженер, инженер по ТБ, главный бухгалтер, экономист, бухгалтер-кассир, начальник ПТО,бухглатер л.с.,бухгалтер расч.ст.и мат.ст.,механик,юрист,паспортист)</t>
  </si>
  <si>
    <t>7.</t>
  </si>
  <si>
    <t xml:space="preserve">Итого </t>
  </si>
  <si>
    <t>Итого</t>
  </si>
  <si>
    <t>Налог при УСН</t>
  </si>
  <si>
    <t xml:space="preserve"> </t>
  </si>
  <si>
    <t>2.5</t>
  </si>
  <si>
    <t>2.4</t>
  </si>
  <si>
    <t>2.3</t>
  </si>
  <si>
    <t>1.4</t>
  </si>
  <si>
    <t>1.5</t>
  </si>
  <si>
    <t>2.1</t>
  </si>
  <si>
    <t>2.2</t>
  </si>
  <si>
    <t>2.6</t>
  </si>
  <si>
    <t>2.7</t>
  </si>
  <si>
    <t>2.8</t>
  </si>
  <si>
    <t>3.2</t>
  </si>
  <si>
    <t>3.3</t>
  </si>
  <si>
    <t>3.1</t>
  </si>
  <si>
    <t>1.1</t>
  </si>
  <si>
    <t>6.1</t>
  </si>
  <si>
    <t>аренда и содержание административных помещений:</t>
  </si>
  <si>
    <t>-нормативные материальные ресурсы на содержание инженерных коммуникаций и конструктивных элементов</t>
  </si>
  <si>
    <t xml:space="preserve">начисления собственникам нежилых помещений и по договорам взаимодействия </t>
  </si>
  <si>
    <t>№ п./п</t>
  </si>
  <si>
    <t xml:space="preserve">Прочие расходы, относящиеся на себестоимость(спецодежда, расходы на ГСМ автотранспорта, эл.энергия для сварочных аппаратов и электроинструмента, запасные части для ремонта оборудования и автотранспорта, амортизационные отчисления на основные средства </t>
  </si>
  <si>
    <t xml:space="preserve">Общецеховые расходы ( з/плата мастеров,энергетика,диспетчеров,уборщиц служ.помещений,сторожей и расходы на содержание производственных помещений)Расходы, связанные с управлением многоквартирным домом ( расходы на оплату диспетчеров, бухгалтера по лицевым </t>
  </si>
  <si>
    <t>- почтово-телеграфные,телефонные, типографские  расходы, расходы на содержание вычислит.техники, консультационные,  информационные и аудиторские услуги, канцелярские товары (0,12)</t>
  </si>
  <si>
    <t>Благоустройство и санитарная очистка домовладений, всего, в том числе:</t>
  </si>
  <si>
    <t>Содержание и обслуживание лифтового хозяйства, всего, в том числе:</t>
  </si>
  <si>
    <t>Содержание инженерных коммуникаций и конструктивных элементов, всего, в том числе:</t>
  </si>
  <si>
    <t>Резерв отпусков 4%</t>
  </si>
  <si>
    <t xml:space="preserve">Плановые накопления   </t>
  </si>
  <si>
    <t xml:space="preserve">ОДН ХВС </t>
  </si>
  <si>
    <t xml:space="preserve">ОДН ГВС </t>
  </si>
  <si>
    <t xml:space="preserve">ОДН  электроэнергия </t>
  </si>
  <si>
    <t xml:space="preserve">Сверхнормативный ОДН (0,5х ОДН хпл. дома) </t>
  </si>
  <si>
    <t xml:space="preserve">диагностическое обследование, измерение "фаза -нуль"тех.осведетельств.,электротехнические работы  9эт.-4271 руб.,10эт.- 4437 руб., 15эт.- 5267руб. </t>
  </si>
  <si>
    <t>Финансовый план  ООО « РЭкС « на  2019 год</t>
  </si>
  <si>
    <t>страховые взносы 30,2%</t>
  </si>
  <si>
    <t>Внеэксплуатационные расходы(налоги,относящиеся на себестоимость) 139327,8 м2х0,01*12 мес.</t>
  </si>
  <si>
    <t>услуги банка 139327,8 х0,03*12 мес.</t>
  </si>
  <si>
    <t>- страхование лифтов 12750 р</t>
  </si>
  <si>
    <t xml:space="preserve">  техническое обслуживание лифтов 9эт. -5184,09руб., 10эт.-5716,27 руб., 15эт.-8376,94руб. *12 мес.</t>
  </si>
  <si>
    <t>Прочие(озеленение, сод.дет.спорт.площ.меропр.по прот.безоп.) 139327,8 х 0,08027*12 мес.</t>
  </si>
  <si>
    <t xml:space="preserve">техническое обслуживание газового оборудования, относящегося к общ.имущ.дома </t>
  </si>
  <si>
    <t>аварийно-ремонтное обслуживание</t>
  </si>
  <si>
    <t>Техобслуживание вентканалов и дымоходов</t>
  </si>
  <si>
    <t xml:space="preserve">дератизация подвалов </t>
  </si>
  <si>
    <t xml:space="preserve">захоронение твердых бытовых отходов(с учетом крупногабаритного мусора) </t>
  </si>
  <si>
    <t>вывоз твердых бытовых отходов(без учета крупногабаритного мусора)</t>
  </si>
  <si>
    <t>вывоз и захоронение нормативного количества крупногабаритного мусора</t>
  </si>
  <si>
    <t>приобретение песочно-соляной смеси</t>
  </si>
  <si>
    <t xml:space="preserve">Нормативные расходы на приобретение спецодежды, инструмента, инвентаря для дворников и уборщиц </t>
  </si>
  <si>
    <t>З/пл.на нормативную численность дворников 14,38 х10280х12 мес.</t>
  </si>
  <si>
    <t xml:space="preserve">З/пл.на нормативную численность уборщиц 10,63х10280х12 мес. </t>
  </si>
  <si>
    <t xml:space="preserve">КВЦ </t>
  </si>
  <si>
    <t xml:space="preserve">-оплата нормативной численности труда рабочих(слесарей-сантехников, электриков, кровельщиков, плотников, штукатуров-маляров, сварщиков, водителей) </t>
  </si>
  <si>
    <t xml:space="preserve">                                  Экономист                                                               В.О.Дурманова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</si>
</sst>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i/>
      <u val="single"/>
      <sz val="9"/>
      <name val="Arial Cyr"/>
      <family val="2"/>
    </font>
    <font>
      <b/>
      <sz val="10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2" fontId="6" fillId="0" borderId="12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164" fontId="5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1" fontId="6" fillId="0" borderId="12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164" fontId="0" fillId="0" borderId="0" xfId="0" applyNumberFormat="1" applyAlignment="1">
      <alignment wrapText="1"/>
    </xf>
    <xf numFmtId="164" fontId="5" fillId="0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164" fontId="6" fillId="0" borderId="12" xfId="0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164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64" fontId="6" fillId="0" borderId="15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64" fontId="47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115" zoomScaleNormal="115" zoomScalePageLayoutView="0" workbookViewId="0" topLeftCell="A1">
      <selection activeCell="J81" sqref="J81"/>
    </sheetView>
  </sheetViews>
  <sheetFormatPr defaultColWidth="9.00390625" defaultRowHeight="12.75"/>
  <cols>
    <col min="1" max="1" width="3.375" style="1" customWidth="1"/>
    <col min="2" max="2" width="82.375" style="2" customWidth="1"/>
    <col min="3" max="3" width="12.875" style="2" customWidth="1"/>
    <col min="4" max="4" width="8.375" style="3" customWidth="1"/>
    <col min="5" max="5" width="11.625" style="2" hidden="1" customWidth="1"/>
    <col min="6" max="8" width="9.125" style="2" hidden="1" customWidth="1"/>
    <col min="9" max="9" width="11.625" style="2" bestFit="1" customWidth="1"/>
    <col min="10" max="10" width="23.125" style="2" customWidth="1"/>
    <col min="11" max="16384" width="9.125" style="2" customWidth="1"/>
  </cols>
  <sheetData>
    <row r="1" spans="1:4" ht="13.5" customHeight="1">
      <c r="A1" s="60" t="s">
        <v>93</v>
      </c>
      <c r="B1" s="60"/>
      <c r="C1" s="60"/>
      <c r="D1" s="60"/>
    </row>
    <row r="2" spans="1:4" ht="13.5" customHeight="1">
      <c r="A2" s="63" t="s">
        <v>0</v>
      </c>
      <c r="B2" s="63"/>
      <c r="C2" s="63"/>
      <c r="D2" s="63"/>
    </row>
    <row r="3" spans="1:4" ht="35.25" customHeight="1">
      <c r="A3" s="64" t="s">
        <v>1</v>
      </c>
      <c r="B3" s="64"/>
      <c r="C3" s="64"/>
      <c r="D3" s="64"/>
    </row>
    <row r="4" spans="1:9" ht="96" customHeight="1">
      <c r="A4" s="66" t="s">
        <v>2</v>
      </c>
      <c r="B4" s="67"/>
      <c r="C4" s="67"/>
      <c r="D4" s="67"/>
      <c r="E4" s="67"/>
      <c r="F4" s="67"/>
      <c r="G4" s="67"/>
      <c r="H4" s="68"/>
      <c r="I4" s="49"/>
    </row>
    <row r="5" spans="1:4" ht="13.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ht="13.5" customHeight="1">
      <c r="A6" s="8" t="s">
        <v>7</v>
      </c>
      <c r="B6" s="9" t="s">
        <v>8</v>
      </c>
      <c r="C6" s="10">
        <v>30</v>
      </c>
      <c r="D6" s="11" t="s">
        <v>9</v>
      </c>
    </row>
    <row r="7" spans="1:4" ht="13.5" customHeight="1">
      <c r="A7" s="8" t="s">
        <v>10</v>
      </c>
      <c r="B7" s="12" t="s">
        <v>11</v>
      </c>
      <c r="C7" s="13">
        <v>139327.8</v>
      </c>
      <c r="D7" s="11" t="s">
        <v>12</v>
      </c>
    </row>
    <row r="8" spans="1:4" ht="13.5" customHeight="1">
      <c r="A8" s="8" t="s">
        <v>13</v>
      </c>
      <c r="B8" s="12" t="s">
        <v>14</v>
      </c>
      <c r="C8" s="13">
        <v>2701.4</v>
      </c>
      <c r="D8" s="11" t="s">
        <v>12</v>
      </c>
    </row>
    <row r="9" spans="1:4" ht="13.5" customHeight="1">
      <c r="A9" s="8" t="s">
        <v>15</v>
      </c>
      <c r="B9" s="12" t="s">
        <v>16</v>
      </c>
      <c r="C9" s="13">
        <f>C10+C11+C12</f>
        <v>74788.5</v>
      </c>
      <c r="D9" s="11" t="s">
        <v>12</v>
      </c>
    </row>
    <row r="10" spans="1:4" ht="13.5" customHeight="1">
      <c r="A10" s="14" t="s">
        <v>17</v>
      </c>
      <c r="B10" s="12" t="s">
        <v>18</v>
      </c>
      <c r="C10" s="13">
        <v>19803.1</v>
      </c>
      <c r="D10" s="11" t="s">
        <v>12</v>
      </c>
    </row>
    <row r="11" spans="1:4" ht="13.5" customHeight="1">
      <c r="A11" s="14" t="s">
        <v>19</v>
      </c>
      <c r="B11" s="12" t="s">
        <v>20</v>
      </c>
      <c r="C11" s="13">
        <v>1140</v>
      </c>
      <c r="D11" s="11" t="s">
        <v>12</v>
      </c>
    </row>
    <row r="12" spans="1:4" ht="13.5" customHeight="1">
      <c r="A12" s="14" t="s">
        <v>21</v>
      </c>
      <c r="B12" s="12" t="s">
        <v>22</v>
      </c>
      <c r="C12" s="13">
        <v>53845.4</v>
      </c>
      <c r="D12" s="11" t="s">
        <v>12</v>
      </c>
    </row>
    <row r="13" spans="1:4" ht="13.5" customHeight="1">
      <c r="A13" s="14" t="s">
        <v>23</v>
      </c>
      <c r="B13" s="12" t="s">
        <v>24</v>
      </c>
      <c r="C13" s="13">
        <v>16307.9</v>
      </c>
      <c r="D13" s="11" t="s">
        <v>12</v>
      </c>
    </row>
    <row r="14" spans="1:4" ht="13.5" customHeight="1">
      <c r="A14" s="14" t="s">
        <v>25</v>
      </c>
      <c r="B14" s="12" t="s">
        <v>26</v>
      </c>
      <c r="C14" s="15">
        <v>16307.9</v>
      </c>
      <c r="D14" s="11" t="s">
        <v>12</v>
      </c>
    </row>
    <row r="15" spans="1:4" ht="13.5" customHeight="1">
      <c r="A15" s="14" t="s">
        <v>27</v>
      </c>
      <c r="B15" s="12" t="s">
        <v>28</v>
      </c>
      <c r="C15" s="15">
        <v>59</v>
      </c>
      <c r="D15" s="11" t="s">
        <v>29</v>
      </c>
    </row>
    <row r="16" spans="1:4" ht="13.5" customHeight="1">
      <c r="A16" s="8" t="s">
        <v>30</v>
      </c>
      <c r="B16" s="12" t="s">
        <v>31</v>
      </c>
      <c r="C16" s="43">
        <v>5892</v>
      </c>
      <c r="D16" s="11" t="s">
        <v>32</v>
      </c>
    </row>
    <row r="17" spans="1:4" ht="13.5" customHeight="1">
      <c r="A17" s="65" t="s">
        <v>33</v>
      </c>
      <c r="B17" s="65"/>
      <c r="C17" s="65"/>
      <c r="D17" s="65"/>
    </row>
    <row r="18" spans="1:4" ht="13.5" customHeight="1">
      <c r="A18" s="16"/>
      <c r="B18" s="61" t="s">
        <v>34</v>
      </c>
      <c r="C18" s="61"/>
      <c r="D18" s="61"/>
    </row>
    <row r="19" spans="1:4" ht="26.25" customHeight="1">
      <c r="A19" s="4" t="s">
        <v>7</v>
      </c>
      <c r="B19" s="8" t="s">
        <v>35</v>
      </c>
      <c r="C19" s="28">
        <v>31387388.46</v>
      </c>
      <c r="D19" s="11" t="s">
        <v>36</v>
      </c>
    </row>
    <row r="20" spans="1:4" ht="18" customHeight="1">
      <c r="A20" s="18" t="s">
        <v>10</v>
      </c>
      <c r="B20" s="9" t="s">
        <v>78</v>
      </c>
      <c r="C20" s="17">
        <v>303425</v>
      </c>
      <c r="D20" s="11" t="s">
        <v>36</v>
      </c>
    </row>
    <row r="21" spans="1:4" ht="15" customHeight="1">
      <c r="A21" s="18" t="s">
        <v>13</v>
      </c>
      <c r="B21" s="9" t="s">
        <v>37</v>
      </c>
      <c r="C21" s="17">
        <v>0</v>
      </c>
      <c r="D21" s="11" t="s">
        <v>36</v>
      </c>
    </row>
    <row r="22" spans="1:4" ht="13.5" customHeight="1">
      <c r="A22" s="18" t="s">
        <v>15</v>
      </c>
      <c r="B22" s="19" t="s">
        <v>38</v>
      </c>
      <c r="C22" s="20">
        <f>C21+C20+C19</f>
        <v>31690813.46</v>
      </c>
      <c r="D22" s="21" t="s">
        <v>36</v>
      </c>
    </row>
    <row r="23" spans="1:4" ht="13.5" customHeight="1">
      <c r="A23" s="62"/>
      <c r="B23" s="62"/>
      <c r="C23" s="62"/>
      <c r="D23" s="62"/>
    </row>
    <row r="24" spans="1:4" ht="47.25" customHeight="1">
      <c r="A24" s="22" t="s">
        <v>79</v>
      </c>
      <c r="B24" s="5" t="s">
        <v>39</v>
      </c>
      <c r="C24" s="23"/>
      <c r="D24" s="7" t="s">
        <v>40</v>
      </c>
    </row>
    <row r="25" spans="1:4" ht="13.5" customHeight="1">
      <c r="A25" s="24"/>
      <c r="B25" s="25" t="s">
        <v>41</v>
      </c>
      <c r="C25" s="13"/>
      <c r="D25" s="26"/>
    </row>
    <row r="26" spans="1:4" ht="13.5" customHeight="1">
      <c r="A26" s="18" t="s">
        <v>42</v>
      </c>
      <c r="B26" s="27" t="s">
        <v>83</v>
      </c>
      <c r="C26" s="28">
        <f>C27+C28+C29+C30+C31+C32+C33+C34+C35</f>
        <v>4927824.053088</v>
      </c>
      <c r="D26" s="29">
        <f>D27+D29+D30+D32+D33+D34+D35+D28+D31</f>
        <v>2.4614628709873676</v>
      </c>
    </row>
    <row r="27" spans="1:4" ht="26.25" customHeight="1">
      <c r="A27" s="24" t="s">
        <v>74</v>
      </c>
      <c r="B27" s="8" t="s">
        <v>109</v>
      </c>
      <c r="C27" s="17">
        <f>14.38*10280*12</f>
        <v>1773916.7999999998</v>
      </c>
      <c r="D27" s="30">
        <f>C27/166832.5/12</f>
        <v>0.8860767536301379</v>
      </c>
    </row>
    <row r="28" spans="1:4" ht="12.75" customHeight="1">
      <c r="A28" s="24"/>
      <c r="B28" s="8" t="s">
        <v>86</v>
      </c>
      <c r="C28" s="17">
        <f>C27*4%</f>
        <v>70956.67199999999</v>
      </c>
      <c r="D28" s="30">
        <f aca="true" t="shared" si="0" ref="D28:D69">C28/166832.5/12</f>
        <v>0.035443070145205514</v>
      </c>
    </row>
    <row r="29" spans="1:4" ht="13.5" customHeight="1">
      <c r="A29" s="24"/>
      <c r="B29" s="8" t="s">
        <v>94</v>
      </c>
      <c r="C29" s="17">
        <f>(C27+C28)*30.2%</f>
        <v>557151.7885439999</v>
      </c>
      <c r="D29" s="30">
        <f t="shared" si="0"/>
        <v>0.2782989867801537</v>
      </c>
    </row>
    <row r="30" spans="1:10" ht="13.5" customHeight="1">
      <c r="A30" s="24" t="s">
        <v>43</v>
      </c>
      <c r="B30" s="8" t="s">
        <v>110</v>
      </c>
      <c r="C30" s="17">
        <f>10.63*10280*12</f>
        <v>1311316.8</v>
      </c>
      <c r="D30" s="30">
        <f t="shared" si="0"/>
        <v>0.6550066683649769</v>
      </c>
      <c r="J30" s="47"/>
    </row>
    <row r="31" spans="1:4" ht="13.5" customHeight="1">
      <c r="A31" s="24"/>
      <c r="B31" s="8" t="s">
        <v>86</v>
      </c>
      <c r="C31" s="17">
        <f>C30*4%</f>
        <v>52452.672000000006</v>
      </c>
      <c r="D31" s="30">
        <f t="shared" si="0"/>
        <v>0.026200266734599076</v>
      </c>
    </row>
    <row r="32" spans="1:4" ht="18.75" customHeight="1">
      <c r="A32" s="24"/>
      <c r="B32" s="8" t="s">
        <v>94</v>
      </c>
      <c r="C32" s="17">
        <f>(C30+C31)*30.2%</f>
        <v>411858.380544</v>
      </c>
      <c r="D32" s="30">
        <f t="shared" si="0"/>
        <v>0.20572449440007193</v>
      </c>
    </row>
    <row r="33" spans="1:4" ht="30.75" customHeight="1">
      <c r="A33" s="45" t="s">
        <v>44</v>
      </c>
      <c r="B33" s="8" t="s">
        <v>108</v>
      </c>
      <c r="C33" s="17">
        <f>43930.9+18513.6</f>
        <v>62444.5</v>
      </c>
      <c r="D33" s="30">
        <f t="shared" si="0"/>
        <v>0.031191214741332376</v>
      </c>
    </row>
    <row r="34" spans="1:4" ht="18" customHeight="1">
      <c r="A34" s="24" t="s">
        <v>64</v>
      </c>
      <c r="B34" s="31" t="s">
        <v>107</v>
      </c>
      <c r="C34" s="17">
        <f>42606.44</f>
        <v>42606.44</v>
      </c>
      <c r="D34" s="30">
        <f t="shared" si="0"/>
        <v>0.021282044365855974</v>
      </c>
    </row>
    <row r="35" spans="1:4" ht="27" customHeight="1">
      <c r="A35" s="24" t="s">
        <v>65</v>
      </c>
      <c r="B35" s="31" t="s">
        <v>106</v>
      </c>
      <c r="C35" s="17">
        <f>645120</f>
        <v>645120</v>
      </c>
      <c r="D35" s="30">
        <f t="shared" si="0"/>
        <v>0.3222393718250341</v>
      </c>
    </row>
    <row r="36" spans="1:4" ht="13.5" customHeight="1">
      <c r="A36" s="18" t="s">
        <v>45</v>
      </c>
      <c r="B36" s="32" t="s">
        <v>46</v>
      </c>
      <c r="C36" s="28">
        <f>C37+C38+C39+C40+C41+C42+C43+C44+0.2</f>
        <v>4116074.5400720006</v>
      </c>
      <c r="D36" s="54">
        <f>C36/166832.5/12</f>
        <v>2.055991558435357</v>
      </c>
    </row>
    <row r="37" spans="1:4" ht="27" customHeight="1">
      <c r="A37" s="24" t="s">
        <v>66</v>
      </c>
      <c r="B37" s="8" t="s">
        <v>105</v>
      </c>
      <c r="C37" s="33">
        <f>1141140</f>
        <v>1141140</v>
      </c>
      <c r="D37" s="30">
        <f t="shared" si="0"/>
        <v>0.5700028471670687</v>
      </c>
    </row>
    <row r="38" spans="1:10" ht="27.75" customHeight="1">
      <c r="A38" s="24" t="s">
        <v>67</v>
      </c>
      <c r="B38" s="8" t="s">
        <v>104</v>
      </c>
      <c r="C38" s="33">
        <f>1393068.6+170553.6+52491.6</f>
        <v>1616113.8000000003</v>
      </c>
      <c r="D38" s="30">
        <f t="shared" si="0"/>
        <v>0.8072536825858272</v>
      </c>
      <c r="I38" s="56" t="s">
        <v>60</v>
      </c>
      <c r="J38" s="55"/>
    </row>
    <row r="39" spans="1:9" ht="27.75" customHeight="1">
      <c r="A39" s="24" t="s">
        <v>63</v>
      </c>
      <c r="B39" s="70" t="s">
        <v>91</v>
      </c>
      <c r="C39" s="17">
        <f>72090.58</f>
        <v>72090.58</v>
      </c>
      <c r="D39" s="57">
        <f t="shared" si="0"/>
        <v>0.03600946058671622</v>
      </c>
      <c r="I39" s="55"/>
    </row>
    <row r="40" spans="1:4" ht="25.5" customHeight="1">
      <c r="A40" s="24" t="s">
        <v>62</v>
      </c>
      <c r="B40" s="8" t="s">
        <v>103</v>
      </c>
      <c r="C40" s="17">
        <f>32741.81</f>
        <v>32741.81</v>
      </c>
      <c r="D40" s="30">
        <f t="shared" si="0"/>
        <v>0.016354632141019686</v>
      </c>
    </row>
    <row r="41" spans="1:4" ht="22.5" customHeight="1">
      <c r="A41" s="24" t="s">
        <v>61</v>
      </c>
      <c r="B41" s="8" t="s">
        <v>102</v>
      </c>
      <c r="C41" s="17">
        <f>81160.52</f>
        <v>81160.52</v>
      </c>
      <c r="D41" s="30">
        <f t="shared" si="0"/>
        <v>0.04053992277683705</v>
      </c>
    </row>
    <row r="42" spans="1:4" ht="24.75" customHeight="1">
      <c r="A42" s="24" t="s">
        <v>68</v>
      </c>
      <c r="B42" s="8" t="s">
        <v>101</v>
      </c>
      <c r="C42" s="17">
        <f>364481.52</f>
        <v>364481.52</v>
      </c>
      <c r="D42" s="30">
        <f t="shared" si="0"/>
        <v>0.1820596106873661</v>
      </c>
    </row>
    <row r="43" spans="1:4" ht="26.25" customHeight="1">
      <c r="A43" s="24" t="s">
        <v>69</v>
      </c>
      <c r="B43" s="8" t="s">
        <v>100</v>
      </c>
      <c r="C43" s="17">
        <f>674140</f>
        <v>674140</v>
      </c>
      <c r="D43" s="30">
        <f t="shared" si="0"/>
        <v>0.3367349487260176</v>
      </c>
    </row>
    <row r="44" spans="1:10" ht="21.75" customHeight="1">
      <c r="A44" s="24" t="s">
        <v>70</v>
      </c>
      <c r="B44" s="34" t="s">
        <v>99</v>
      </c>
      <c r="C44" s="17">
        <f>139327.8*0.08027*12</f>
        <v>134206.11007199998</v>
      </c>
      <c r="D44" s="30">
        <f t="shared" si="0"/>
        <v>0.0670363538639054</v>
      </c>
      <c r="I44" s="59" t="s">
        <v>60</v>
      </c>
      <c r="J44" s="59"/>
    </row>
    <row r="45" spans="1:10" ht="21" customHeight="1">
      <c r="A45" s="18" t="s">
        <v>47</v>
      </c>
      <c r="B45" s="32" t="s">
        <v>84</v>
      </c>
      <c r="C45" s="48">
        <f>C46+C48+C47</f>
        <v>4046455.92</v>
      </c>
      <c r="D45" s="54">
        <f t="shared" si="0"/>
        <v>2.021216849235011</v>
      </c>
      <c r="I45" s="59"/>
      <c r="J45" s="59"/>
    </row>
    <row r="46" spans="1:10" ht="27" customHeight="1">
      <c r="A46" s="24" t="s">
        <v>73</v>
      </c>
      <c r="B46" s="8" t="s">
        <v>92</v>
      </c>
      <c r="C46" s="50">
        <f>52*4271+5*4437+2*5267</f>
        <v>254811</v>
      </c>
      <c r="D46" s="30">
        <f t="shared" si="0"/>
        <v>0.12727885753675092</v>
      </c>
      <c r="I46" s="59"/>
      <c r="J46" s="59"/>
    </row>
    <row r="47" spans="1:4" ht="27" customHeight="1">
      <c r="A47" s="24" t="s">
        <v>71</v>
      </c>
      <c r="B47" s="8" t="s">
        <v>98</v>
      </c>
      <c r="C47" s="50">
        <f>314907.91*12</f>
        <v>3778894.92</v>
      </c>
      <c r="D47" s="30">
        <f t="shared" si="0"/>
        <v>1.8875693285181245</v>
      </c>
    </row>
    <row r="48" spans="1:9" ht="19.5" customHeight="1">
      <c r="A48" s="35" t="s">
        <v>72</v>
      </c>
      <c r="B48" s="53" t="s">
        <v>97</v>
      </c>
      <c r="C48" s="50">
        <f>12750</f>
        <v>12750</v>
      </c>
      <c r="D48" s="30">
        <f t="shared" si="0"/>
        <v>0.006368663180135765</v>
      </c>
      <c r="I48" s="2" t="s">
        <v>60</v>
      </c>
    </row>
    <row r="49" spans="1:4" ht="29.25" customHeight="1">
      <c r="A49" s="18" t="s">
        <v>48</v>
      </c>
      <c r="B49" s="36" t="s">
        <v>85</v>
      </c>
      <c r="C49" s="48">
        <f>C50+C52+C53+C54+C51</f>
        <v>4579754.8889448</v>
      </c>
      <c r="D49" s="54">
        <f t="shared" si="0"/>
        <v>2.2876012811976083</v>
      </c>
    </row>
    <row r="50" spans="1:4" ht="34.5" customHeight="1">
      <c r="A50" s="24" t="s">
        <v>17</v>
      </c>
      <c r="B50" s="8" t="s">
        <v>112</v>
      </c>
      <c r="C50" s="33">
        <f>3326832.18/130.2*100</f>
        <v>2555170.6451612907</v>
      </c>
      <c r="D50" s="30">
        <f>C50/166832.5/12</f>
        <v>1.2763153887688203</v>
      </c>
    </row>
    <row r="51" spans="1:4" ht="14.25" customHeight="1">
      <c r="A51" s="24"/>
      <c r="B51" s="8" t="s">
        <v>86</v>
      </c>
      <c r="C51" s="17">
        <f>C50*4%</f>
        <v>102206.82580645163</v>
      </c>
      <c r="D51" s="30">
        <f t="shared" si="0"/>
        <v>0.05105261555075282</v>
      </c>
    </row>
    <row r="52" spans="1:4" ht="18" customHeight="1">
      <c r="A52" s="24"/>
      <c r="B52" s="8" t="s">
        <v>94</v>
      </c>
      <c r="C52" s="17">
        <f>(C50+C51)*30.2%</f>
        <v>802527.9962322582</v>
      </c>
      <c r="D52" s="30">
        <f t="shared" si="0"/>
        <v>0.4008651373045111</v>
      </c>
    </row>
    <row r="53" spans="1:4" ht="33" customHeight="1">
      <c r="A53" s="24" t="s">
        <v>19</v>
      </c>
      <c r="B53" s="8" t="s">
        <v>77</v>
      </c>
      <c r="C53" s="50">
        <f>139327.8*0.409793*12</f>
        <v>685146.6857447999</v>
      </c>
      <c r="D53" s="58">
        <f>C53/166832.5/12</f>
        <v>0.34223282121529075</v>
      </c>
    </row>
    <row r="54" spans="1:4" ht="44.25" customHeight="1">
      <c r="A54" s="22" t="s">
        <v>21</v>
      </c>
      <c r="B54" s="46" t="s">
        <v>80</v>
      </c>
      <c r="C54" s="17">
        <f>139327.8*0.26*12</f>
        <v>434702.7359999999</v>
      </c>
      <c r="D54" s="30">
        <f t="shared" si="0"/>
        <v>0.21713531835823352</v>
      </c>
    </row>
    <row r="55" spans="1:4" ht="13.5" customHeight="1">
      <c r="A55" s="18" t="s">
        <v>49</v>
      </c>
      <c r="B55" s="37" t="s">
        <v>50</v>
      </c>
      <c r="C55" s="28">
        <f>C56+C57+C58+C59+C60+C61</f>
        <v>3493218.533115</v>
      </c>
      <c r="D55" s="54">
        <f t="shared" si="0"/>
        <v>1.7448731178052839</v>
      </c>
    </row>
    <row r="56" spans="1:9" ht="72" customHeight="1">
      <c r="A56" s="24" t="s">
        <v>51</v>
      </c>
      <c r="B56" s="38" t="s">
        <v>81</v>
      </c>
      <c r="C56" s="39">
        <f>(100316.02+54349.2)+2507900.4/130.2*100</f>
        <v>2080856.0034101384</v>
      </c>
      <c r="D56" s="30">
        <f t="shared" si="0"/>
        <v>1.0393938048692244</v>
      </c>
      <c r="I56" s="44" t="s">
        <v>60</v>
      </c>
    </row>
    <row r="57" spans="1:4" ht="14.25" customHeight="1">
      <c r="A57" s="24"/>
      <c r="B57" s="8" t="s">
        <v>86</v>
      </c>
      <c r="C57" s="52">
        <f>C56*4%</f>
        <v>83234.24013640554</v>
      </c>
      <c r="D57" s="30">
        <f t="shared" si="0"/>
        <v>0.04157575219476898</v>
      </c>
    </row>
    <row r="58" spans="1:4" ht="14.25" customHeight="1">
      <c r="A58" s="24"/>
      <c r="B58" s="8" t="s">
        <v>94</v>
      </c>
      <c r="C58" s="52">
        <f>(C56+C57)*30.2%</f>
        <v>653555.2535510563</v>
      </c>
      <c r="D58" s="30">
        <f t="shared" si="0"/>
        <v>0.32645280623332595</v>
      </c>
    </row>
    <row r="59" spans="1:4" ht="13.5" customHeight="1">
      <c r="A59" s="24"/>
      <c r="B59" s="8" t="s">
        <v>52</v>
      </c>
      <c r="C59" s="50">
        <f>167400</f>
        <v>167400</v>
      </c>
      <c r="D59" s="30">
        <f t="shared" si="0"/>
        <v>0.0836168012827237</v>
      </c>
    </row>
    <row r="60" spans="1:4" ht="13.5" customHeight="1">
      <c r="A60" s="24"/>
      <c r="B60" s="8" t="s">
        <v>96</v>
      </c>
      <c r="C60" s="17">
        <f>139327.8*0.03*12</f>
        <v>50158.008</v>
      </c>
      <c r="D60" s="30">
        <f t="shared" si="0"/>
        <v>0.025054075195180797</v>
      </c>
    </row>
    <row r="61" spans="1:4" ht="13.5" customHeight="1">
      <c r="A61" s="24"/>
      <c r="B61" s="8" t="s">
        <v>111</v>
      </c>
      <c r="C61" s="69">
        <f>(C19*0.01369)+28321.68</f>
        <v>458015.0280174</v>
      </c>
      <c r="D61" s="30">
        <f t="shared" si="0"/>
        <v>0.22877987803006009</v>
      </c>
    </row>
    <row r="62" spans="1:4" ht="13.5" customHeight="1">
      <c r="A62" s="18" t="s">
        <v>53</v>
      </c>
      <c r="B62" s="32" t="s">
        <v>54</v>
      </c>
      <c r="C62" s="28">
        <f>C63+C65+C66+C67+C64</f>
        <v>4497004.2463447675</v>
      </c>
      <c r="D62" s="54">
        <f>C62/166832.5/12-0.01</f>
        <v>2.236267087420401</v>
      </c>
    </row>
    <row r="63" spans="1:9" ht="44.25" customHeight="1">
      <c r="A63" s="24" t="s">
        <v>75</v>
      </c>
      <c r="B63" s="40" t="s">
        <v>55</v>
      </c>
      <c r="C63" s="33">
        <f>257350*12</f>
        <v>3088200</v>
      </c>
      <c r="D63" s="30">
        <f>C63/166832.5/12</f>
        <v>1.5425651476780604</v>
      </c>
      <c r="I63" s="51"/>
    </row>
    <row r="64" spans="1:9" ht="15.75" customHeight="1">
      <c r="A64" s="24"/>
      <c r="B64" s="8" t="s">
        <v>86</v>
      </c>
      <c r="C64" s="17">
        <f>C63*4%</f>
        <v>123528</v>
      </c>
      <c r="D64" s="30">
        <f t="shared" si="0"/>
        <v>0.06170260590712242</v>
      </c>
      <c r="I64" s="51"/>
    </row>
    <row r="65" spans="1:4" ht="13.5" customHeight="1">
      <c r="A65" s="24"/>
      <c r="B65" s="8" t="s">
        <v>94</v>
      </c>
      <c r="C65" s="17">
        <f>(C63+C64)*30.2%</f>
        <v>969941.8559999999</v>
      </c>
      <c r="D65" s="30">
        <f t="shared" si="0"/>
        <v>0.48448886158272514</v>
      </c>
    </row>
    <row r="66" spans="1:4" ht="42.75" customHeight="1">
      <c r="A66" s="24"/>
      <c r="B66" s="8" t="s">
        <v>82</v>
      </c>
      <c r="C66" s="17">
        <f>18000*12</f>
        <v>216000</v>
      </c>
      <c r="D66" s="30">
        <f t="shared" si="0"/>
        <v>0.10789264681641768</v>
      </c>
    </row>
    <row r="67" spans="1:9" ht="13.5" customHeight="1">
      <c r="A67" s="24"/>
      <c r="B67" s="41" t="s">
        <v>76</v>
      </c>
      <c r="C67" s="33">
        <f>139327.8*0.05941288*12</f>
        <v>99334.390344768</v>
      </c>
      <c r="D67" s="30">
        <f>C67/166832.5/12</f>
        <v>0.049617825436075104</v>
      </c>
      <c r="I67" s="44" t="s">
        <v>60</v>
      </c>
    </row>
    <row r="68" spans="1:4" ht="27.75" customHeight="1">
      <c r="A68" s="18" t="s">
        <v>56</v>
      </c>
      <c r="B68" s="32" t="s">
        <v>95</v>
      </c>
      <c r="C68" s="20">
        <f>139327.8*0.01*12</f>
        <v>16719.336</v>
      </c>
      <c r="D68" s="54">
        <f>C68/166832.5/12</f>
        <v>0.008351358398393597</v>
      </c>
    </row>
    <row r="69" spans="1:4" ht="13.5" customHeight="1">
      <c r="A69" s="24"/>
      <c r="B69" s="8"/>
      <c r="C69" s="13">
        <v>0</v>
      </c>
      <c r="D69" s="30">
        <f t="shared" si="0"/>
        <v>0</v>
      </c>
    </row>
    <row r="70" spans="1:9" ht="13.5" customHeight="1">
      <c r="A70" s="24"/>
      <c r="B70" s="42" t="s">
        <v>57</v>
      </c>
      <c r="C70" s="20">
        <f>C26+C36+C45+C49+C55+C62+C68</f>
        <v>25677051.517564565</v>
      </c>
      <c r="D70" s="54">
        <f>C70/166832.5/12+0.01</f>
        <v>12.835764123479422</v>
      </c>
      <c r="I70" s="44"/>
    </row>
    <row r="71" spans="1:4" ht="13.5" customHeight="1">
      <c r="A71" s="24"/>
      <c r="B71" s="42" t="s">
        <v>87</v>
      </c>
      <c r="C71" s="28">
        <f>C70*6%</f>
        <v>1540623.0910538738</v>
      </c>
      <c r="D71" s="54">
        <f>C71/166832.5/12+0.01</f>
        <v>0.7795458474087652</v>
      </c>
    </row>
    <row r="72" spans="1:4" ht="13.5" customHeight="1">
      <c r="A72" s="24"/>
      <c r="B72" s="42" t="s">
        <v>58</v>
      </c>
      <c r="C72" s="28">
        <f>C71+C70</f>
        <v>27217674.60861844</v>
      </c>
      <c r="D72" s="54">
        <f>C72/166832.5/12+0.01</f>
        <v>13.605309970888186</v>
      </c>
    </row>
    <row r="73" spans="1:4" ht="13.5" customHeight="1">
      <c r="A73" s="24"/>
      <c r="B73" s="42" t="s">
        <v>59</v>
      </c>
      <c r="C73" s="28">
        <f>C72*3%-4.1</f>
        <v>816526.1382585531</v>
      </c>
      <c r="D73" s="29">
        <f>D72*3%+0.01</f>
        <v>0.41815929912664557</v>
      </c>
    </row>
    <row r="74" spans="1:4" ht="13.5" customHeight="1">
      <c r="A74" s="24"/>
      <c r="B74" s="42" t="s">
        <v>88</v>
      </c>
      <c r="C74" s="28">
        <v>154923.47</v>
      </c>
      <c r="D74" s="29">
        <v>0.12</v>
      </c>
    </row>
    <row r="75" spans="1:4" ht="13.5" customHeight="1">
      <c r="A75" s="24"/>
      <c r="B75" s="42" t="s">
        <v>89</v>
      </c>
      <c r="C75" s="28">
        <v>880399.57</v>
      </c>
      <c r="D75" s="29">
        <v>0.79</v>
      </c>
    </row>
    <row r="76" spans="1:4" ht="13.5" customHeight="1">
      <c r="A76" s="24"/>
      <c r="B76" s="42" t="s">
        <v>90</v>
      </c>
      <c r="C76" s="28">
        <v>2621289.67</v>
      </c>
      <c r="D76" s="29">
        <f>38.38/23</f>
        <v>1.6686956521739131</v>
      </c>
    </row>
    <row r="77" spans="1:9" ht="13.5" customHeight="1">
      <c r="A77" s="24"/>
      <c r="B77" s="42" t="s">
        <v>38</v>
      </c>
      <c r="C77" s="28">
        <f>C72+C73+C74+C75+C76</f>
        <v>31690813.456876993</v>
      </c>
      <c r="D77" s="29">
        <f>D73+D72+D74+D75+D76</f>
        <v>16.602164922188745</v>
      </c>
      <c r="E77" s="2" t="s">
        <v>60</v>
      </c>
      <c r="I77" s="47">
        <f>C22-C77</f>
        <v>0.0031230077147483826</v>
      </c>
    </row>
    <row r="78" ht="12.75">
      <c r="C78" s="47" t="s">
        <v>60</v>
      </c>
    </row>
    <row r="79" ht="12.75">
      <c r="C79" s="47"/>
    </row>
    <row r="80" ht="12.75">
      <c r="C80" s="47" t="s">
        <v>60</v>
      </c>
    </row>
    <row r="81" ht="12.75">
      <c r="B81" s="2" t="s">
        <v>113</v>
      </c>
    </row>
  </sheetData>
  <sheetProtection selectLockedCells="1" selectUnlockedCells="1"/>
  <mergeCells count="8">
    <mergeCell ref="I44:J46"/>
    <mergeCell ref="A1:D1"/>
    <mergeCell ref="B18:D18"/>
    <mergeCell ref="A23:D23"/>
    <mergeCell ref="A2:D2"/>
    <mergeCell ref="A3:D3"/>
    <mergeCell ref="A17:D17"/>
    <mergeCell ref="A4:H4"/>
  </mergeCells>
  <printOptions/>
  <pageMargins left="0.19652777777777777" right="0.19652777777777777" top="0.7875" bottom="0.5902777777777778" header="0.5118055555555555" footer="0.511805555555555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2017-03-29T07:14:03Z</cp:lastPrinted>
  <dcterms:modified xsi:type="dcterms:W3CDTF">2019-05-13T13:04:34Z</dcterms:modified>
  <cp:category/>
  <cp:version/>
  <cp:contentType/>
  <cp:contentStatus/>
</cp:coreProperties>
</file>